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4" i="2" l="1"/>
  <c r="B224" i="2"/>
  <c r="F215" i="2"/>
  <c r="F214" i="2" l="1"/>
  <c r="F213" i="2" l="1"/>
  <c r="F212" i="2" l="1"/>
  <c r="F211" i="2" l="1"/>
  <c r="F210" i="2" l="1"/>
  <c r="F216" i="2"/>
  <c r="F217" i="2"/>
  <c r="F218" i="2"/>
  <c r="F219" i="2"/>
  <c r="F220" i="2"/>
  <c r="F221" i="2"/>
  <c r="F209" i="2"/>
  <c r="C217" i="2" l="1"/>
  <c r="C211" i="2"/>
  <c r="C212" i="2"/>
  <c r="C219" i="2"/>
  <c r="C214" i="2"/>
  <c r="B216" i="2"/>
  <c r="B217" i="2"/>
  <c r="B218" i="2"/>
  <c r="C218" i="2"/>
  <c r="B219" i="2"/>
  <c r="B220" i="2"/>
  <c r="B221" i="2"/>
  <c r="C220" i="2" l="1"/>
  <c r="C221" i="2"/>
  <c r="C213" i="2"/>
  <c r="C215" i="2"/>
  <c r="C216" i="2"/>
  <c r="C210" i="2"/>
  <c r="V105" i="2"/>
  <c r="V104" i="2"/>
  <c r="V103" i="2"/>
  <c r="U105" i="2"/>
  <c r="U104" i="2"/>
  <c r="U103" i="2"/>
  <c r="V101" i="2"/>
  <c r="U101" i="2"/>
  <c r="U100" i="2"/>
  <c r="R104" i="2"/>
  <c r="R103" i="2"/>
  <c r="O104" i="2"/>
  <c r="O103" i="2"/>
  <c r="R101" i="2"/>
  <c r="O101" i="2"/>
  <c r="C209" i="2"/>
  <c r="C199" i="2" l="1"/>
  <c r="C200" i="2"/>
  <c r="C205" i="2"/>
  <c r="C202" i="2"/>
  <c r="C206" i="2"/>
  <c r="R100" i="2"/>
  <c r="O100" i="2"/>
  <c r="C208" i="2" l="1"/>
  <c r="E200" i="2"/>
  <c r="F200" i="2" s="1"/>
  <c r="C201" i="2"/>
  <c r="C203" i="2"/>
  <c r="C204" i="2"/>
  <c r="E199" i="2"/>
  <c r="F199" i="2" s="1"/>
  <c r="C207" i="2"/>
  <c r="C196" i="2"/>
  <c r="E201" i="2" l="1"/>
  <c r="F201" i="2" s="1"/>
  <c r="E194" i="2"/>
  <c r="E202" i="2" l="1"/>
  <c r="F202" i="2" s="1"/>
  <c r="F194" i="2"/>
  <c r="E203" i="2" l="1"/>
  <c r="F203" i="2" s="1"/>
  <c r="R99" i="2"/>
  <c r="O99" i="2"/>
  <c r="E204" i="2" l="1"/>
  <c r="F204" i="2" s="1"/>
  <c r="E180" i="2"/>
  <c r="F180" i="2" s="1"/>
  <c r="E205" i="2" l="1"/>
  <c r="F205" i="2" s="1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F206" i="2" s="1"/>
  <c r="E176" i="2"/>
  <c r="F176" i="2" s="1"/>
  <c r="E207" i="2" l="1"/>
  <c r="F207" i="2" s="1"/>
  <c r="E177" i="2"/>
  <c r="F177" i="2" s="1"/>
  <c r="E208" i="2" l="1"/>
  <c r="F208" i="2" s="1"/>
  <c r="E178" i="2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l="1"/>
  <c r="K186" i="2"/>
  <c r="V99" i="2" s="1"/>
  <c r="E187" i="2"/>
  <c r="F187" i="2" s="1"/>
  <c r="U99" i="2" l="1"/>
  <c r="G187" i="2"/>
  <c r="K187" i="2" s="1"/>
  <c r="E188" i="2"/>
  <c r="F188" i="2" s="1"/>
  <c r="G188" i="2" l="1"/>
  <c r="K188" i="2" s="1"/>
  <c r="E189" i="2"/>
  <c r="F189" i="2" s="1"/>
  <c r="G189" i="2" l="1"/>
  <c r="K189" i="2" s="1"/>
  <c r="E190" i="2"/>
  <c r="F190" i="2" s="1"/>
  <c r="G190" i="2" l="1"/>
  <c r="K190" i="2" s="1"/>
  <c r="E191" i="2"/>
  <c r="F191" i="2" s="1"/>
  <c r="G191" i="2" l="1"/>
  <c r="K191" i="2" s="1"/>
  <c r="E192" i="2"/>
  <c r="F192" i="2" s="1"/>
  <c r="G192" i="2" l="1"/>
  <c r="K192" i="2" s="1"/>
  <c r="E193" i="2"/>
  <c r="F193" i="2" s="1"/>
  <c r="G193" i="2" l="1"/>
  <c r="K193" i="2" s="1"/>
  <c r="G194" i="2"/>
  <c r="K194" i="2" s="1"/>
  <c r="E195" i="2" l="1"/>
  <c r="F195" i="2" s="1"/>
  <c r="G195" i="2" l="1"/>
  <c r="K195" i="2" s="1"/>
  <c r="E196" i="2"/>
  <c r="F196" i="2" s="1"/>
  <c r="E198" i="2" l="1"/>
  <c r="F198" i="2" s="1"/>
  <c r="G196" i="2"/>
  <c r="K196" i="2" s="1"/>
  <c r="E197" i="2"/>
  <c r="F197" i="2" s="1"/>
  <c r="G203" i="2" s="1"/>
  <c r="K203" i="2" s="1"/>
  <c r="G205" i="2" l="1"/>
  <c r="K205" i="2" s="1"/>
  <c r="G206" i="2"/>
  <c r="K206" i="2" s="1"/>
  <c r="G201" i="2"/>
  <c r="K201" i="2" s="1"/>
  <c r="G208" i="2"/>
  <c r="K208" i="2" s="1"/>
  <c r="G197" i="2"/>
  <c r="G200" i="2"/>
  <c r="K200" i="2" s="1"/>
  <c r="G199" i="2"/>
  <c r="K199" i="2" s="1"/>
  <c r="G202" i="2"/>
  <c r="K202" i="2" s="1"/>
  <c r="G204" i="2"/>
  <c r="K204" i="2" s="1"/>
  <c r="G207" i="2"/>
  <c r="K207" i="2" s="1"/>
  <c r="G198" i="2"/>
  <c r="K198" i="2" s="1"/>
  <c r="K197" i="2" l="1"/>
  <c r="V100" i="2" l="1"/>
  <c r="E210" i="2" l="1"/>
  <c r="E209" i="2"/>
  <c r="G210" i="2" l="1"/>
  <c r="K210" i="2" s="1"/>
  <c r="G209" i="2"/>
  <c r="K209" i="2" s="1"/>
  <c r="G217" i="2" l="1"/>
  <c r="G212" i="2"/>
  <c r="G218" i="2"/>
  <c r="G214" i="2"/>
  <c r="G211" i="2"/>
  <c r="G219" i="2"/>
  <c r="G221" i="2"/>
  <c r="G213" i="2"/>
  <c r="G216" i="2"/>
  <c r="G220" i="2"/>
  <c r="G215" i="2"/>
  <c r="E211" i="2"/>
  <c r="K211" i="2" l="1"/>
  <c r="E212" i="2" l="1"/>
  <c r="K212" i="2"/>
  <c r="K213" i="2" l="1"/>
  <c r="E213" i="2"/>
  <c r="K214" i="2" l="1"/>
  <c r="E214" i="2"/>
  <c r="E215" i="2" l="1"/>
  <c r="D216" i="2"/>
  <c r="K215" i="2"/>
  <c r="D217" i="2" l="1"/>
  <c r="E216" i="2"/>
  <c r="K216" i="2"/>
  <c r="D218" i="2" l="1"/>
  <c r="K217" i="2"/>
  <c r="E217" i="2"/>
  <c r="E218" i="2" l="1"/>
  <c r="K218" i="2"/>
  <c r="D219" i="2"/>
  <c r="D220" i="2" l="1"/>
  <c r="E219" i="2"/>
  <c r="K219" i="2"/>
  <c r="D221" i="2" l="1"/>
  <c r="K220" i="2"/>
  <c r="E220" i="2"/>
  <c r="K221" i="2" l="1"/>
  <c r="E221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<sst xmlns="http://schemas.openxmlformats.org/spreadsheetml/2006/main" count="87" uniqueCount="52">
  <si>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</si>
  <si>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</si>
  <si>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</si>
  <si>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</si>
  <si>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</si>
  <si>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</si>
  <si>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</si>
  <si>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</si>
  <si>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</si>
  <si>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</si>
  <si>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</si>
  <si>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</si>
  <si>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</si>
  <si>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</si>
  <si>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</si>
  <si>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</si>
  <si>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</si>
  <si>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</si>
  <si>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</si>
  <si>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</si>
  <si>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</si>
  <si>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</si>
  <si>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</si>
  <si>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</si>
  <si>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</si>
  <si>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</si>
  <si>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</si>
  <si>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</si>
  <si>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</si>
  <si>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</si>
  <si>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</si>
  <si>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</si>
  <si>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</si>
  <si>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</si>
  <si>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</si>
  <si>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</si>
  <si>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</si>
  <si>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</si>
  <si>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</si>
  <si>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</si>
  <si>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</si>
  <si>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</si>
  <si>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</si>
  <si>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</si>
  <si>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</si>
  <si>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</si>
  <si>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</si>
  <si>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</si>
  <si>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</si>
  <si>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from 2000 to 2024 (24 YEARS)</t>
  </si>
  <si>
    <t>Choose a growth factor for Jan to Dec 2025.</t>
  </si>
  <si>
    <t>2025 YTD growth rate vs.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</si>
</sst>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  <xf numFmtId="10" fontId="0" fillId="0" borderId="0" xfId="28" applyNumberFormat="1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244800"/>
        <c:axId val="406444224"/>
      </c:lineChart>
      <c:catAx>
        <c:axId val="3912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44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444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24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53408"/>
        <c:axId val="403955712"/>
      </c:lineChart>
      <c:catAx>
        <c:axId val="4063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5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95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35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53920"/>
        <c:axId val="403957440"/>
      </c:lineChart>
      <c:catAx>
        <c:axId val="4063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9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95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635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1356.3879999999999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data!$B$210:$B$221</c:f>
              <c:numCache>
                <c:formatCode>#,##0</c:formatCode>
                <c:ptCount val="12"/>
                <c:pt idx="0">
                  <c:v>1796.3</c:v>
                </c:pt>
                <c:pt idx="1">
                  <c:v>1774.452</c:v>
                </c:pt>
                <c:pt idx="2">
                  <c:v>1873.3050000000001</c:v>
                </c:pt>
                <c:pt idx="3">
                  <c:v>2024.039</c:v>
                </c:pt>
                <c:pt idx="4">
                  <c:v>1863.5050000000001</c:v>
                </c:pt>
                <c:pt idx="5">
                  <c:v>1749.9190000000001</c:v>
                </c:pt>
                <c:pt idx="6">
                  <c:v>1994.6416649762873</c:v>
                </c:pt>
                <c:pt idx="7">
                  <c:v>2239.1246885028636</c:v>
                </c:pt>
                <c:pt idx="8">
                  <c:v>2097.3828048800224</c:v>
                </c:pt>
                <c:pt idx="9">
                  <c:v>2180.7708500109725</c:v>
                </c:pt>
                <c:pt idx="10">
                  <c:v>1886.1086763800129</c:v>
                </c:pt>
                <c:pt idx="11">
                  <c:v>1805.2880848373268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00576"/>
        <c:axId val="403959168"/>
      </c:lineChart>
      <c:catAx>
        <c:axId val="40860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395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959168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860057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>
                  <c:v>820.83633333333364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data!$F$210:$F$221</c:f>
              <c:numCache>
                <c:formatCode>#,##0_);\(#,##0\)</c:formatCode>
                <c:ptCount val="12"/>
                <c:pt idx="0">
                  <c:v>1288.6156666666654</c:v>
                </c:pt>
                <c:pt idx="1">
                  <c:v>1348.047666666668</c:v>
                </c:pt>
                <c:pt idx="2">
                  <c:v>1807.6183333333354</c:v>
                </c:pt>
                <c:pt idx="3">
                  <c:v>1994.3139999999978</c:v>
                </c:pt>
                <c:pt idx="4">
                  <c:v>2012.0100000000011</c:v>
                </c:pt>
                <c:pt idx="5">
                  <c:v>1864.3853333333302</c:v>
                </c:pt>
                <c:pt idx="6" formatCode="#,##0">
                  <c:v>1940.711892039079</c:v>
                </c:pt>
                <c:pt idx="7" formatCode="#,##0">
                  <c:v>2066.4275666677941</c:v>
                </c:pt>
                <c:pt idx="8" formatCode="#,##0">
                  <c:v>1790.2101311438325</c:v>
                </c:pt>
                <c:pt idx="9" formatCode="#,##0">
                  <c:v>1705.1477216916678</c:v>
                </c:pt>
                <c:pt idx="10" formatCode="#,##0">
                  <c:v>1400.9946279848543</c:v>
                </c:pt>
                <c:pt idx="11" formatCode="#,##0">
                  <c:v>1360.4422178704426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97280"/>
        <c:axId val="403960896"/>
      </c:lineChart>
      <c:catAx>
        <c:axId val="4224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396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960896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22497280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245</xdr:row>
      <xdr:rowOff>0</xdr:rowOff>
    </xdr:from>
    <xdr:to>
      <xdr:col>5</xdr:col>
      <xdr:colOff>419100</xdr:colOff>
      <xdr:row>245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245</xdr:row>
      <xdr:rowOff>0</xdr:rowOff>
    </xdr:from>
    <xdr:to>
      <xdr:col>8</xdr:col>
      <xdr:colOff>469900</xdr:colOff>
      <xdr:row>245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0</xdr:rowOff>
    </xdr:from>
    <xdr:to>
      <xdr:col>12</xdr:col>
      <xdr:colOff>482600</xdr:colOff>
      <xdr:row>234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236</xdr:row>
      <xdr:rowOff>0</xdr:rowOff>
    </xdr:from>
    <xdr:to>
      <xdr:col>6</xdr:col>
      <xdr:colOff>177800</xdr:colOff>
      <xdr:row>257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236</xdr:row>
      <xdr:rowOff>8659</xdr:rowOff>
    </xdr:from>
    <xdr:to>
      <xdr:col>20</xdr:col>
      <xdr:colOff>254000</xdr:colOff>
      <xdr:row>257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49"/>
  <sheetViews>
    <sheetView tabSelected="1" zoomScaleNormal="100" zoomScalePageLayoutView="110" workbookViewId="0">
      <pane ySplit="5" topLeftCell="A218" activePane="bottomLeft" state="frozen"/>
      <selection pane="bottomLeft" activeCell="C225" sqref="C225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49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7.984418143911419E-2</v>
      </c>
      <c r="Z73" s="26">
        <v>6.9118135979349335E-2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7.5619755824449394E-2</v>
      </c>
      <c r="Z74" s="26">
        <v>7.0111177079603015E-2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8.3594450441924373E-2</v>
      </c>
      <c r="Z75" s="26">
        <v>8.4293456249002613E-2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8.1303335839288712E-2</v>
      </c>
      <c r="Z76" s="26">
        <v>9.1186606316468258E-2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8.3856481530152516E-2</v>
      </c>
      <c r="Z77" s="26">
        <v>9.4382660783908681E-2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8.5899226586369185E-2</v>
      </c>
      <c r="Z78" s="26">
        <v>9.8972187917864995E-2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8.3340704355728407E-2</v>
      </c>
      <c r="Z79" s="26">
        <v>9.3015562583429065E-2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9.3555765908634056E-2</v>
      </c>
      <c r="Z80" s="26">
        <v>9.9040936184277686E-2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8.7633464863159954E-2</v>
      </c>
      <c r="Z81" s="26">
        <v>8.5802227097160927E-2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9.1117608676100553E-2</v>
      </c>
      <c r="Z82" s="26">
        <v>8.1725306714310109E-2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7.8805947123755479E-2</v>
      </c>
      <c r="Z83" s="26">
        <v>6.7147681236421813E-2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7.5429077411323112E-2</v>
      </c>
      <c r="Z84" s="26">
        <v>6.5204061858203474E-2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0.99999999999999978</v>
      </c>
      <c r="Z86" s="30">
        <f>SUM(Z73:Z84)</f>
        <v>0.99999999999999989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1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1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32">
        <v>2024</v>
      </c>
      <c r="N101" s="2">
        <v>23933.582999999999</v>
      </c>
      <c r="O101" s="34">
        <f t="shared" si="28"/>
        <v>5.768229726552021E-2</v>
      </c>
      <c r="P101" s="35"/>
      <c r="Q101" s="2">
        <v>21075.129666666668</v>
      </c>
      <c r="R101" s="34">
        <f t="shared" si="27"/>
        <v>9.7220800630801074E-2</v>
      </c>
      <c r="T101" s="32">
        <v>2024</v>
      </c>
      <c r="U101" s="37">
        <f>MIN(K198:K209)</f>
        <v>0.86716294104799818</v>
      </c>
      <c r="V101" s="58">
        <f>MAX(K198:K209)</f>
        <v>0.94497448710877074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5" t="s">
        <v>39</v>
      </c>
      <c r="N103" s="46"/>
      <c r="O103" s="47">
        <f>MIN(O65:O101)</f>
        <v>-0.24491489929975141</v>
      </c>
      <c r="P103" s="46"/>
      <c r="Q103" s="46"/>
      <c r="R103" s="47">
        <f>MIN(R65:R101)</f>
        <v>-0.13917411362916188</v>
      </c>
      <c r="S103" s="50"/>
      <c r="U103" s="37">
        <f>MEDIAN(U64:U101)</f>
        <v>0.68819939882610037</v>
      </c>
      <c r="V103" s="37">
        <f>MEDIAN(V64:V101)</f>
        <v>0.82425991754233174</v>
      </c>
      <c r="W103" s="57" t="s">
        <v>44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M104" s="48" t="s">
        <v>40</v>
      </c>
      <c r="N104" s="39"/>
      <c r="O104" s="49">
        <f>MAX(O65:O101)</f>
        <v>0.32667126119917289</v>
      </c>
      <c r="P104" s="39"/>
      <c r="Q104" s="39"/>
      <c r="R104" s="49">
        <f>MAX(R65:R101)</f>
        <v>0.13805809807056191</v>
      </c>
      <c r="S104" s="51"/>
      <c r="U104" s="37">
        <f>AVERAGE(U64:U101)</f>
        <v>0.67886575598124244</v>
      </c>
      <c r="V104" s="37">
        <f>AVERAGE(V64:V101)</f>
        <v>0.81086748337897385</v>
      </c>
      <c r="W104" s="57" t="s">
        <v>45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  <c r="U105">
        <f>STDEV(U64:U101)</f>
        <v>0.10813792799344878</v>
      </c>
      <c r="V105">
        <f>STDEV(V64:V101)</f>
        <v>0.11077837834038871</v>
      </c>
      <c r="W105" s="57" t="s">
        <v>46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8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8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4" x14ac:dyDescent="0.2">
      <c r="A209" s="1">
        <v>44166</v>
      </c>
      <c r="B209" s="10">
        <v>1356.3879999999999</v>
      </c>
      <c r="C209" s="12">
        <f>SUM(B198:B209)</f>
        <v>23933.582999999999</v>
      </c>
      <c r="D209" s="10">
        <v>19794.446666666667</v>
      </c>
      <c r="E209" s="13">
        <f t="shared" si="75"/>
        <v>535.55166666666628</v>
      </c>
      <c r="F209" s="9">
        <f t="shared" ref="F209:F215" si="78">B209-E209</f>
        <v>820.83633333333364</v>
      </c>
      <c r="G209" s="12">
        <f t="shared" si="76"/>
        <v>21075.129666666668</v>
      </c>
      <c r="H209" s="57"/>
      <c r="I209" s="57"/>
      <c r="J209" s="57"/>
      <c r="K209" s="54">
        <f t="shared" si="77"/>
        <v>0.93923249724885038</v>
      </c>
    </row>
    <row r="210" spans="1:14" x14ac:dyDescent="0.2">
      <c r="A210" s="1">
        <v>44197</v>
      </c>
      <c r="B210" s="10">
        <v>1796.3</v>
      </c>
      <c r="C210" s="12">
        <f>SUM(B199:B210)</f>
        <v>23842.762999999999</v>
      </c>
      <c r="D210" s="10">
        <v>20302.131000000001</v>
      </c>
      <c r="E210" s="13">
        <f t="shared" ref="E210" si="79">D210-D209</f>
        <v>507.68433333333451</v>
      </c>
      <c r="F210" s="9">
        <f t="shared" si="78"/>
        <v>1288.6156666666654</v>
      </c>
      <c r="G210" s="12">
        <f t="shared" ref="G210" si="80">SUM(F199:F210)</f>
        <v>21060.459333333332</v>
      </c>
      <c r="H210" s="57"/>
      <c r="I210" s="57"/>
      <c r="J210" s="57"/>
      <c r="K210" s="54">
        <f t="shared" ref="K210" si="81">D210/G210</f>
        <v>0.96399279230661927</v>
      </c>
    </row>
    <row r="211" spans="1:14" x14ac:dyDescent="0.2">
      <c r="A211" s="1">
        <v>44228</v>
      </c>
      <c r="B211" s="10">
        <v>1774.452</v>
      </c>
      <c r="C211" s="12">
        <f t="shared" ref="C211:C221" si="82">SUM(B200:B211)</f>
        <v>23434.795000000002</v>
      </c>
      <c r="D211" s="10">
        <v>20728.535333333333</v>
      </c>
      <c r="E211" s="13">
        <f t="shared" ref="E211:E221" si="83">D211-D210</f>
        <v>426.40433333333203</v>
      </c>
      <c r="F211" s="9">
        <f t="shared" si="78"/>
        <v>1348.047666666668</v>
      </c>
      <c r="G211" s="12">
        <f t="shared" ref="G211:G221" si="84">SUM(F200:F211)</f>
        <v>20692.691333333336</v>
      </c>
      <c r="H211" s="57"/>
      <c r="I211" s="57"/>
      <c r="J211" s="57"/>
      <c r="K211" s="54">
        <f t="shared" ref="K211:K221" si="85">D211/G211</f>
        <v>1.0017322058026477</v>
      </c>
    </row>
    <row r="212" spans="1:14" x14ac:dyDescent="0.2">
      <c r="A212" s="1">
        <v>44256</v>
      </c>
      <c r="B212" s="10">
        <v>1873.3050000000001</v>
      </c>
      <c r="C212" s="12">
        <f t="shared" si="82"/>
        <v>23114.823</v>
      </c>
      <c r="D212" s="10">
        <v>20794.221999999998</v>
      </c>
      <c r="E212" s="13">
        <f t="shared" si="83"/>
        <v>65.686666666664678</v>
      </c>
      <c r="F212" s="9">
        <f t="shared" si="78"/>
        <v>1807.6183333333354</v>
      </c>
      <c r="G212" s="12">
        <f t="shared" si="84"/>
        <v>20633.472000000002</v>
      </c>
      <c r="H212" s="57"/>
      <c r="I212" s="57"/>
      <c r="J212" s="57"/>
      <c r="K212" s="54">
        <f t="shared" si="85"/>
        <v>1.0077907392415584</v>
      </c>
    </row>
    <row r="213" spans="1:14" x14ac:dyDescent="0.2">
      <c r="A213" s="1">
        <v>44287</v>
      </c>
      <c r="B213" s="10">
        <v>2024.039</v>
      </c>
      <c r="C213" s="12">
        <f t="shared" si="82"/>
        <v>22715.929</v>
      </c>
      <c r="D213" s="10">
        <v>20823.947</v>
      </c>
      <c r="E213" s="13">
        <f t="shared" si="83"/>
        <v>29.725000000002183</v>
      </c>
      <c r="F213" s="9">
        <f t="shared" si="78"/>
        <v>1994.3139999999978</v>
      </c>
      <c r="G213" s="12">
        <f t="shared" si="84"/>
        <v>20384.137333333332</v>
      </c>
      <c r="H213" s="57"/>
      <c r="I213" s="57"/>
      <c r="J213" s="57"/>
      <c r="K213" s="54">
        <f t="shared" si="85"/>
        <v>1.021576074546332</v>
      </c>
    </row>
    <row r="214" spans="1:14" x14ac:dyDescent="0.2">
      <c r="A214" s="1">
        <v>44317</v>
      </c>
      <c r="B214" s="10">
        <v>1863.5050000000001</v>
      </c>
      <c r="C214" s="12">
        <f t="shared" si="82"/>
        <v>22346.086000000003</v>
      </c>
      <c r="D214" s="10">
        <v>20675.441999999999</v>
      </c>
      <c r="E214" s="13">
        <f t="shared" si="83"/>
        <v>-148.50500000000102</v>
      </c>
      <c r="F214" s="9">
        <f t="shared" si="78"/>
        <v>2012.0100000000011</v>
      </c>
      <c r="G214" s="12">
        <f t="shared" si="84"/>
        <v>20281.107</v>
      </c>
      <c r="H214" s="57"/>
      <c r="I214" s="57"/>
      <c r="J214" s="57"/>
      <c r="K214" s="54">
        <f t="shared" si="85"/>
        <v>1.0194434652901343</v>
      </c>
    </row>
    <row r="215" spans="1:14" x14ac:dyDescent="0.2">
      <c r="A215" s="1">
        <v>44348</v>
      </c>
      <c r="B215" s="10">
        <v>1749.9190000000001</v>
      </c>
      <c r="C215" s="12">
        <f t="shared" si="82"/>
        <v>22155.686999999998</v>
      </c>
      <c r="D215" s="10">
        <v>20560.975666666669</v>
      </c>
      <c r="E215" s="13">
        <f t="shared" si="83"/>
        <v>-114.46633333333011</v>
      </c>
      <c r="F215" s="9">
        <f t="shared" si="78"/>
        <v>1864.3853333333302</v>
      </c>
      <c r="G215" s="12">
        <f t="shared" si="84"/>
        <v>20091.915666666628</v>
      </c>
      <c r="H215" s="57"/>
      <c r="I215" s="57"/>
      <c r="J215" s="57"/>
      <c r="K215" s="54">
        <f t="shared" si="85"/>
        <v>1.0233457081834278</v>
      </c>
    </row>
    <row r="216" spans="1:14" x14ac:dyDescent="0.2">
      <c r="A216" s="1">
        <v>44378</v>
      </c>
      <c r="B216" s="10">
        <f t="shared" ref="B215:B221" si="86">C$209*(1+B$226)*Y79</f>
        <v>1994.6416649762873</v>
      </c>
      <c r="C216" s="12">
        <f t="shared" si="82"/>
        <v>22024.023664976288</v>
      </c>
      <c r="D216" s="10">
        <f t="shared" ref="D215:D221" si="87">D215+B216-F216</f>
        <v>20614.905439603877</v>
      </c>
      <c r="E216" s="13">
        <f t="shared" si="83"/>
        <v>53.929772937208327</v>
      </c>
      <c r="F216" s="10">
        <f t="shared" ref="F215:F221" si="88">G$209*(1+F$226)*Z79</f>
        <v>1940.711892039079</v>
      </c>
      <c r="G216" s="12">
        <f t="shared" si="84"/>
        <v>19804.074225372413</v>
      </c>
      <c r="H216" s="57"/>
      <c r="I216" s="57"/>
      <c r="J216" s="57"/>
      <c r="K216" s="54">
        <f t="shared" si="85"/>
        <v>1.040942646700074</v>
      </c>
    </row>
    <row r="217" spans="1:14" x14ac:dyDescent="0.2">
      <c r="A217" s="1">
        <v>44409</v>
      </c>
      <c r="B217" s="10">
        <f t="shared" si="86"/>
        <v>2239.1246885028636</v>
      </c>
      <c r="C217" s="12">
        <f t="shared" si="82"/>
        <v>22215.251353479151</v>
      </c>
      <c r="D217" s="10">
        <f t="shared" si="87"/>
        <v>20787.602561438947</v>
      </c>
      <c r="E217" s="13">
        <f t="shared" si="83"/>
        <v>172.69712183506999</v>
      </c>
      <c r="F217" s="10">
        <f t="shared" si="88"/>
        <v>2066.4275666677941</v>
      </c>
      <c r="G217" s="12">
        <f t="shared" si="84"/>
        <v>19787.088458706876</v>
      </c>
      <c r="H217" s="57"/>
      <c r="I217" s="57"/>
      <c r="J217" s="57"/>
      <c r="K217" s="54">
        <f t="shared" si="85"/>
        <v>1.0505639879672048</v>
      </c>
    </row>
    <row r="218" spans="1:14" x14ac:dyDescent="0.2">
      <c r="A218" s="1">
        <v>44440</v>
      </c>
      <c r="B218" s="10">
        <f t="shared" si="86"/>
        <v>2097.3828048800224</v>
      </c>
      <c r="C218" s="12">
        <f t="shared" si="82"/>
        <v>22458.847158359175</v>
      </c>
      <c r="D218" s="10">
        <f t="shared" si="87"/>
        <v>21094.775235175141</v>
      </c>
      <c r="E218" s="13">
        <f t="shared" si="83"/>
        <v>307.17267373619325</v>
      </c>
      <c r="F218" s="10">
        <f t="shared" si="88"/>
        <v>1790.2101311438325</v>
      </c>
      <c r="G218" s="12">
        <f t="shared" si="84"/>
        <v>19938.059923184039</v>
      </c>
      <c r="H218" s="57"/>
      <c r="I218" s="57"/>
      <c r="J218" s="57"/>
      <c r="K218" s="54">
        <f t="shared" si="85"/>
        <v>1.0580154396389425</v>
      </c>
    </row>
    <row r="219" spans="1:14" x14ac:dyDescent="0.2">
      <c r="A219" s="1">
        <v>44470</v>
      </c>
      <c r="B219" s="10">
        <f t="shared" si="86"/>
        <v>2180.7708500109725</v>
      </c>
      <c r="C219" s="12">
        <f t="shared" si="82"/>
        <v>22571.316008370151</v>
      </c>
      <c r="D219" s="10">
        <f t="shared" si="87"/>
        <v>21570.398363494445</v>
      </c>
      <c r="E219" s="13">
        <f t="shared" si="83"/>
        <v>475.62312831930467</v>
      </c>
      <c r="F219" s="10">
        <f t="shared" si="88"/>
        <v>1705.1477216916678</v>
      </c>
      <c r="G219" s="12">
        <f t="shared" si="84"/>
        <v>19863.226644875704</v>
      </c>
      <c r="H219" s="57"/>
      <c r="I219" s="57"/>
      <c r="J219" s="57"/>
      <c r="K219" s="54">
        <f t="shared" si="85"/>
        <v>1.085946344425323</v>
      </c>
    </row>
    <row r="220" spans="1:14" x14ac:dyDescent="0.2">
      <c r="A220" s="1">
        <v>44501</v>
      </c>
      <c r="B220" s="10">
        <f t="shared" si="86"/>
        <v>1886.1086763800129</v>
      </c>
      <c r="C220" s="12">
        <f t="shared" si="82"/>
        <v>22835.936684750159</v>
      </c>
      <c r="D220" s="10">
        <f t="shared" si="87"/>
        <v>22055.512411889602</v>
      </c>
      <c r="E220" s="13">
        <f t="shared" si="83"/>
        <v>485.11404839515671</v>
      </c>
      <c r="F220" s="10">
        <f t="shared" si="88"/>
        <v>1400.9946279848543</v>
      </c>
      <c r="G220" s="12">
        <f t="shared" si="84"/>
        <v>20039.319272860561</v>
      </c>
      <c r="H220" s="57"/>
      <c r="I220" s="57"/>
      <c r="J220" s="57"/>
      <c r="K220" s="54">
        <f t="shared" si="85"/>
        <v>1.100611857697162</v>
      </c>
    </row>
    <row r="221" spans="1:14" x14ac:dyDescent="0.2">
      <c r="A221" s="1">
        <v>44531</v>
      </c>
      <c r="B221" s="10">
        <f t="shared" si="86"/>
        <v>1805.2880848373268</v>
      </c>
      <c r="C221" s="12">
        <f t="shared" si="82"/>
        <v>23284.836769587484</v>
      </c>
      <c r="D221" s="10">
        <f t="shared" si="87"/>
        <v>22500.358278856489</v>
      </c>
      <c r="E221" s="13">
        <f t="shared" si="83"/>
        <v>444.84586696688712</v>
      </c>
      <c r="F221" s="10">
        <f t="shared" si="88"/>
        <v>1360.4422178704426</v>
      </c>
      <c r="G221" s="12">
        <f t="shared" si="84"/>
        <v>20578.925157397665</v>
      </c>
      <c r="H221" s="57"/>
      <c r="I221" s="57"/>
      <c r="J221" s="57"/>
      <c r="K221" s="54">
        <f t="shared" si="85"/>
        <v>1.093368973683648</v>
      </c>
    </row>
    <row r="222" spans="1:14" x14ac:dyDescent="0.2">
      <c r="A222" s="1"/>
      <c r="B222" s="10"/>
      <c r="C222" s="12"/>
      <c r="D222" s="10"/>
      <c r="E222" s="13"/>
      <c r="F222" s="10"/>
      <c r="G222" s="12"/>
      <c r="H222" s="57"/>
      <c r="I222" s="57"/>
      <c r="J222" s="57"/>
      <c r="K222" s="54"/>
      <c r="N222" s="66"/>
    </row>
    <row r="223" spans="1:14" x14ac:dyDescent="0.2">
      <c r="A223" s="1"/>
      <c r="C223" s="19"/>
      <c r="G223" s="33"/>
    </row>
    <row r="224" spans="1:14" ht="28.5" customHeight="1" x14ac:dyDescent="0.2">
      <c r="A224" s="61" t="s">
        <v>51</v>
      </c>
      <c r="B224" s="64">
        <f>SUM(B210:B215)/SUM(B198:B203)-1</f>
        <v>-0.13825635627621047</v>
      </c>
      <c r="C224" s="62"/>
      <c r="D224" s="63"/>
      <c r="E224" s="63"/>
      <c r="F224" s="64">
        <f>SUM(F210:F215)/SUM(F198:F203)-1</f>
        <v>-8.7023912205526077E-2</v>
      </c>
      <c r="G224" s="33"/>
      <c r="K224" s="33"/>
    </row>
    <row r="225" spans="1:12" ht="15.75" x14ac:dyDescent="0.25">
      <c r="A225" s="17"/>
      <c r="B225" s="8"/>
      <c r="E225" s="17"/>
      <c r="F225" s="8"/>
      <c r="G225" s="55"/>
      <c r="L225" s="59"/>
    </row>
    <row r="226" spans="1:12" ht="15.75" x14ac:dyDescent="0.25">
      <c r="A226" s="17">
        <v>2025</v>
      </c>
      <c r="B226" s="60">
        <v>0</v>
      </c>
      <c r="E226" s="17">
        <v>2025</v>
      </c>
      <c r="F226" s="60">
        <v>-0.01</v>
      </c>
    </row>
    <row r="228" spans="1:12" ht="15.75" x14ac:dyDescent="0.25">
      <c r="B228" s="38" t="s">
        <v>15</v>
      </c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2" ht="15.75" x14ac:dyDescent="0.25">
      <c r="B229" s="7" t="s">
        <v>16</v>
      </c>
      <c r="F229" s="7" t="s">
        <v>17</v>
      </c>
    </row>
    <row r="230" spans="1:12" x14ac:dyDescent="0.2">
      <c r="B230" s="53" t="s">
        <v>43</v>
      </c>
      <c r="C230" s="53"/>
      <c r="D230" s="53"/>
      <c r="E230" s="53"/>
      <c r="F230" s="53" t="s">
        <v>43</v>
      </c>
    </row>
    <row r="231" spans="1:12" x14ac:dyDescent="0.2">
      <c r="B231" s="57" t="s">
        <v>50</v>
      </c>
      <c r="F231" s="57" t="s">
        <v>50</v>
      </c>
    </row>
    <row r="232" spans="1:12" x14ac:dyDescent="0.2">
      <c r="B232" t="s">
        <v>35</v>
      </c>
      <c r="F232" t="s">
        <v>35</v>
      </c>
    </row>
    <row r="233" spans="1:12" x14ac:dyDescent="0.2">
      <c r="B233" t="s">
        <v>18</v>
      </c>
      <c r="L233" s="6"/>
    </row>
    <row r="234" spans="1:12" x14ac:dyDescent="0.2">
      <c r="B234" t="s">
        <v>21</v>
      </c>
      <c r="L234" s="6"/>
    </row>
    <row r="235" spans="1:12" x14ac:dyDescent="0.2">
      <c r="L235" s="6"/>
    </row>
    <row r="236" spans="1:12" x14ac:dyDescent="0.2">
      <c r="A236" s="65"/>
      <c r="L236" s="6"/>
    </row>
    <row r="237" spans="1:12" x14ac:dyDescent="0.2">
      <c r="L237" s="6"/>
    </row>
    <row r="238" spans="1:12" x14ac:dyDescent="0.2">
      <c r="L238" s="6"/>
    </row>
    <row r="241" spans="1:11" ht="15.75" x14ac:dyDescent="0.25">
      <c r="B241" s="8"/>
      <c r="F241" s="8"/>
    </row>
    <row r="242" spans="1:11" ht="15.75" x14ac:dyDescent="0.25">
      <c r="B242" s="8"/>
      <c r="F242" s="8"/>
    </row>
    <row r="243" spans="1:1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2025-07-28T20:24:58Z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